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3820"/>
  <mc:AlternateContent xmlns:mc="http://schemas.openxmlformats.org/markup-compatibility/2006">
    <mc:Choice Requires="x15">
      <x15ac:absPath xmlns:x15ac="http://schemas.microsoft.com/office/spreadsheetml/2010/11/ac" url="\\fileshr01\adminshr$\HumanResources\Open Enrollment\2025\"/>
    </mc:Choice>
  </mc:AlternateContent>
  <xr:revisionPtr revIDLastSave="0" documentId="13_ncr:1_{17626BF4-DBAD-46C4-AFD4-348F86C8B7B5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2025" sheetId="1" r:id="rId1"/>
  </sheets>
  <calcPr calcId="191029"/>
</workbook>
</file>

<file path=xl/calcChain.xml><?xml version="1.0" encoding="utf-8"?>
<calcChain xmlns="http://schemas.openxmlformats.org/spreadsheetml/2006/main">
  <c r="G26" i="1" l="1"/>
  <c r="G25" i="1"/>
  <c r="G24" i="1"/>
  <c r="G23" i="1"/>
  <c r="H17" i="1" l="1"/>
  <c r="B18" i="1"/>
  <c r="B20" i="1" s="1"/>
  <c r="B74" i="1"/>
  <c r="B42" i="1"/>
  <c r="B25" i="1"/>
  <c r="B27" i="1" s="1"/>
  <c r="B23" i="1"/>
  <c r="B32" i="1" l="1"/>
  <c r="J11" i="1"/>
  <c r="C18" i="1"/>
  <c r="B41" i="1" l="1"/>
  <c r="B39" i="1"/>
  <c r="C15" i="1"/>
  <c r="B77" i="1" s="1"/>
  <c r="C14" i="1"/>
  <c r="C13" i="1"/>
  <c r="C12" i="1"/>
  <c r="B29" i="1" s="1"/>
  <c r="B30" i="1" s="1"/>
  <c r="B34" i="1" s="1"/>
  <c r="C20" i="1"/>
  <c r="C34" i="1" l="1"/>
  <c r="B36" i="1"/>
  <c r="C98" i="1"/>
  <c r="E98" i="1" s="1"/>
  <c r="C97" i="1"/>
  <c r="E97" i="1" s="1"/>
  <c r="C96" i="1"/>
  <c r="E96" i="1" s="1"/>
  <c r="C95" i="1"/>
  <c r="E95" i="1" s="1"/>
  <c r="B73" i="1"/>
  <c r="B75" i="1" s="1"/>
  <c r="B78" i="1" s="1"/>
  <c r="B57" i="1"/>
  <c r="B61" i="1"/>
  <c r="B45" i="1"/>
  <c r="B80" i="1"/>
  <c r="B71" i="1"/>
  <c r="B64" i="1"/>
  <c r="B55" i="1"/>
  <c r="B48" i="1"/>
  <c r="B43" i="1"/>
  <c r="B58" i="1"/>
  <c r="B82" i="1" l="1"/>
  <c r="B84" i="1" s="1"/>
  <c r="B46" i="1"/>
  <c r="B50" i="1" s="1"/>
  <c r="J13" i="1" s="1"/>
  <c r="B59" i="1"/>
  <c r="B62" i="1" s="1"/>
  <c r="B66" i="1" s="1"/>
  <c r="J12" i="1"/>
  <c r="C36" i="1"/>
  <c r="J15" i="1" l="1"/>
  <c r="C82" i="1"/>
  <c r="C84" i="1" s="1"/>
  <c r="C50" i="1"/>
  <c r="B52" i="1"/>
  <c r="C52" i="1" s="1"/>
  <c r="J14" i="1"/>
  <c r="C66" i="1"/>
  <c r="B68" i="1"/>
  <c r="C68" i="1" s="1"/>
</calcChain>
</file>

<file path=xl/sharedStrings.xml><?xml version="1.0" encoding="utf-8"?>
<sst xmlns="http://schemas.openxmlformats.org/spreadsheetml/2006/main" count="95" uniqueCount="47">
  <si>
    <t>Level of Coverage</t>
  </si>
  <si>
    <t>You and Your Spouse</t>
  </si>
  <si>
    <t>You and Your Child(ren)</t>
  </si>
  <si>
    <t>Your annualized salary from your Benefit Statement</t>
  </si>
  <si>
    <t>Biweekly</t>
  </si>
  <si>
    <t>You and Child(ren)</t>
  </si>
  <si>
    <t>Total biweekly employee contribution</t>
  </si>
  <si>
    <t>Single</t>
  </si>
  <si>
    <t>The dependent premium from above</t>
  </si>
  <si>
    <t>You and Your Family</t>
  </si>
  <si>
    <t>(not to exceed 100%)</t>
  </si>
  <si>
    <t>This is your monthly cost for dependent health ins.</t>
  </si>
  <si>
    <t>The single employee premium from above**</t>
  </si>
  <si>
    <t xml:space="preserve">     This is your monthly cost for dependent health ins.</t>
  </si>
  <si>
    <t>Your annualized base salary</t>
  </si>
  <si>
    <t>% of the dependent premium you will pay - line 22 + line 23</t>
  </si>
  <si>
    <t>Total monthly employee contribution</t>
  </si>
  <si>
    <t>Delta Dental</t>
  </si>
  <si>
    <t xml:space="preserve">Multiply the premium amount in line 26 by the % in line 24 </t>
  </si>
  <si>
    <t xml:space="preserve">Colgate Couples: Colgate couples with dependent children are able to enroll in one family plan and have the Colgate contribution for both employees applied to the family premium.  </t>
  </si>
  <si>
    <t>Employee Contribution</t>
  </si>
  <si>
    <t>Monthly</t>
  </si>
  <si>
    <t>Multiply the result by 1%</t>
  </si>
  <si>
    <t>Colgate University</t>
  </si>
  <si>
    <t>Colgate Couple with Child(ren)</t>
  </si>
  <si>
    <t>University Contribution</t>
  </si>
  <si>
    <t>Total Monthly Premium</t>
  </si>
  <si>
    <t>Total Dependent Monthly Premium</t>
  </si>
  <si>
    <t xml:space="preserve">Health and dental premiums are payroll deducted on a pre-tax basis, which reduces the amount of taxable income.  The employee's additional contribution for coverage for the domestic partner and/or the domestic partner's children must be made on a post-tax basis unless they qualify as the employee's dependents for federal income tax purposes. </t>
  </si>
  <si>
    <t>Health and Prescription Drug</t>
  </si>
  <si>
    <t xml:space="preserve"> The below premiums represent the health and prescription drug rates combined; </t>
  </si>
  <si>
    <t>your specific deductions will appear separately on your paystub</t>
  </si>
  <si>
    <t>You and Your Spouse/Partner</t>
  </si>
  <si>
    <t>for Active, Benefit Eligible Employees</t>
  </si>
  <si>
    <t>Divide your annualized salary by 1725</t>
  </si>
  <si>
    <t>***Make sure monthly rates are an even number</t>
  </si>
  <si>
    <t>&lt;50k</t>
  </si>
  <si>
    <t>50-100k</t>
  </si>
  <si>
    <t>100-150k</t>
  </si>
  <si>
    <t>150k+</t>
  </si>
  <si>
    <t>Check</t>
  </si>
  <si>
    <t>Single Coverage: Employee contribution is determined by 4 salary tiers; less than $50,000, 50,000-99,999, 100,000-149,999, and greater than $150,000.</t>
  </si>
  <si>
    <t>17.5% base cost of dependent premium</t>
  </si>
  <si>
    <t>Dependent Coverage: Colgate’s contribution to the cost of dependent health insurance is based on salary.  Every employee contributes a base of 17.5% of the dependent health premium.  Employees are responsible for an extra 1% of the premium for every $1,725 of annualized base salary.  If your salary changes, your contribution will automatically change.</t>
  </si>
  <si>
    <t>New in 2024, employee contributions that exceed 17% of an empoyee's salary will be capped at this threshold.</t>
  </si>
  <si>
    <t>Salary
Cap % &amp; $</t>
  </si>
  <si>
    <t>2025 INSURANCE PREMIUM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</si>
</sst>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&quot;$&quot;\(#,##0.00\)"/>
    <numFmt numFmtId="165" formatCode="&quot;$&quot;#,##0.00"/>
    <numFmt numFmtId="166" formatCode="0.0%"/>
    <numFmt numFmtId="167" formatCode="_(* #,##0.0000_);_(* \(#,##0.0000\);_(* &quot;-&quot;??_);_(@_)"/>
    <numFmt numFmtId="168" formatCode="_(&quot;$&quot;* #,##0.000_);_(&quot;$&quot;* \(#,##0.000\);_(&quot;$&quot;* &quot;-&quot;??_);_(@_)"/>
  </numFmts>
  <fonts count="11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9.5"/>
      <color rgb="FF000000"/>
      <name val="Arial"/>
      <family val="2"/>
    </font>
    <font>
      <b/>
      <sz val="15"/>
      <color rgb="FF000000"/>
      <name val="Arial"/>
      <family val="2"/>
    </font>
    <font>
      <sz val="12"/>
      <color rgb="FF00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>
      <alignment vertical="center"/>
    </xf>
    <xf numFmtId="0" fontId="0" fillId="0" borderId="0" xfId="0" applyFill="1">
      <alignment vertical="center"/>
    </xf>
    <xf numFmtId="164" fontId="4" fillId="0" borderId="2" xfId="0" applyNumberFormat="1" applyFont="1" applyFill="1" applyBorder="1" applyAlignment="1" applyProtection="1">
      <protection locked="0"/>
    </xf>
    <xf numFmtId="0" fontId="0" fillId="0" borderId="0" xfId="0" applyFill="1" applyProtection="1">
      <alignment vertical="center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5" fillId="0" borderId="0" xfId="0" applyFont="1" applyFill="1" applyAlignment="1" applyProtection="1">
      <protection locked="0"/>
    </xf>
    <xf numFmtId="9" fontId="5" fillId="0" borderId="8" xfId="0" applyNumberFormat="1" applyFont="1" applyFill="1" applyBorder="1" applyAlignment="1" applyProtection="1">
      <protection locked="0"/>
    </xf>
    <xf numFmtId="0" fontId="0" fillId="0" borderId="3" xfId="0" applyFill="1" applyBorder="1" applyAlignment="1" applyProtection="1">
      <alignment wrapText="1"/>
      <protection locked="0"/>
    </xf>
    <xf numFmtId="43" fontId="0" fillId="0" borderId="0" xfId="3" applyFont="1" applyFill="1" applyAlignment="1" applyProtection="1">
      <alignment vertical="center"/>
      <protection locked="0"/>
    </xf>
    <xf numFmtId="43" fontId="5" fillId="0" borderId="0" xfId="3" quotePrefix="1" applyFont="1" applyFill="1" applyAlignment="1" applyProtection="1">
      <protection locked="0"/>
    </xf>
    <xf numFmtId="167" fontId="0" fillId="0" borderId="0" xfId="3" applyNumberFormat="1" applyFont="1" applyFill="1" applyAlignment="1" applyProtection="1">
      <alignment vertical="center"/>
      <protection locked="0"/>
    </xf>
    <xf numFmtId="0" fontId="0" fillId="0" borderId="0" xfId="0" quotePrefix="1" applyFill="1" applyProtection="1">
      <alignment vertical="center"/>
      <protection locked="0"/>
    </xf>
    <xf numFmtId="43" fontId="0" fillId="0" borderId="0" xfId="0" applyNumberFormat="1" applyFill="1" applyProtection="1">
      <alignment vertical="center"/>
      <protection locked="0"/>
    </xf>
    <xf numFmtId="0" fontId="10" fillId="0" borderId="0" xfId="0" applyFont="1" applyFill="1" applyAlignment="1" applyProtection="1">
      <alignment horizontal="center" vertical="center" wrapText="1"/>
      <protection locked="0"/>
    </xf>
    <xf numFmtId="9" fontId="10" fillId="0" borderId="0" xfId="0" applyNumberFormat="1" applyFont="1" applyFill="1" applyAlignment="1" applyProtection="1">
      <alignment horizontal="center" vertical="center"/>
      <protection locked="0"/>
    </xf>
    <xf numFmtId="7" fontId="10" fillId="0" borderId="0" xfId="0" applyNumberFormat="1" applyFont="1" applyFill="1" applyProtection="1">
      <alignment vertical="center"/>
      <protection locked="0"/>
    </xf>
    <xf numFmtId="7" fontId="0" fillId="0" borderId="0" xfId="0" applyNumberFormat="1" applyFill="1" applyProtection="1">
      <alignment vertical="center"/>
      <protection locked="0"/>
    </xf>
    <xf numFmtId="168" fontId="0" fillId="0" borderId="0" xfId="4" applyNumberFormat="1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vertical="top" wrapText="1"/>
      <protection locked="0"/>
    </xf>
    <xf numFmtId="0" fontId="6" fillId="0" borderId="0" xfId="0" applyFont="1" applyFill="1" applyAlignment="1" applyProtection="1">
      <protection locked="0"/>
    </xf>
    <xf numFmtId="0" fontId="0" fillId="0" borderId="0" xfId="0" applyFill="1" applyAlignment="1" applyProtection="1">
      <alignment wrapText="1"/>
      <protection locked="0"/>
    </xf>
    <xf numFmtId="0" fontId="5" fillId="0" borderId="0" xfId="0" applyFont="1" applyFill="1" applyAlignment="1" applyProtection="1">
      <alignment vertical="center" wrapText="1"/>
      <protection locked="0"/>
    </xf>
    <xf numFmtId="164" fontId="5" fillId="0" borderId="5" xfId="0" applyNumberFormat="1" applyFont="1" applyFill="1" applyBorder="1" applyAlignment="1" applyProtection="1"/>
    <xf numFmtId="0" fontId="3" fillId="0" borderId="1" xfId="0" applyFont="1" applyFill="1" applyBorder="1" applyAlignment="1" applyProtection="1"/>
    <xf numFmtId="0" fontId="4" fillId="0" borderId="2" xfId="0" applyFont="1" applyFill="1" applyBorder="1" applyAlignment="1" applyProtection="1">
      <alignment horizontal="center" wrapText="1"/>
    </xf>
    <xf numFmtId="0" fontId="0" fillId="0" borderId="0" xfId="0" applyFill="1" applyProtection="1">
      <alignment vertical="center"/>
    </xf>
    <xf numFmtId="0" fontId="5" fillId="0" borderId="1" xfId="0" applyFont="1" applyFill="1" applyBorder="1" applyAlignment="1" applyProtection="1"/>
    <xf numFmtId="0" fontId="5" fillId="0" borderId="0" xfId="0" applyFont="1" applyFill="1" applyAlignment="1" applyProtection="1"/>
    <xf numFmtId="164" fontId="5" fillId="0" borderId="6" xfId="0" applyNumberFormat="1" applyFont="1" applyFill="1" applyBorder="1" applyAlignment="1" applyProtection="1"/>
    <xf numFmtId="0" fontId="5" fillId="0" borderId="3" xfId="0" applyFont="1" applyFill="1" applyBorder="1" applyAlignment="1" applyProtection="1"/>
    <xf numFmtId="0" fontId="4" fillId="0" borderId="0" xfId="0" applyFont="1" applyFill="1" applyAlignment="1" applyProtection="1"/>
    <xf numFmtId="0" fontId="4" fillId="0" borderId="4" xfId="0" applyFont="1" applyFill="1" applyBorder="1" applyAlignment="1" applyProtection="1">
      <alignment horizontal="center" wrapText="1"/>
    </xf>
    <xf numFmtId="164" fontId="5" fillId="0" borderId="4" xfId="0" applyNumberFormat="1" applyFont="1" applyFill="1" applyBorder="1" applyAlignment="1" applyProtection="1"/>
    <xf numFmtId="0" fontId="0" fillId="0" borderId="1" xfId="0" applyFill="1" applyBorder="1" applyAlignment="1" applyProtection="1">
      <alignment wrapText="1"/>
    </xf>
    <xf numFmtId="0" fontId="5" fillId="0" borderId="5" xfId="0" applyFont="1" applyFill="1" applyBorder="1" applyAlignment="1" applyProtection="1"/>
    <xf numFmtId="0" fontId="4" fillId="0" borderId="7" xfId="0" applyFont="1" applyFill="1" applyBorder="1" applyAlignment="1" applyProtection="1">
      <alignment horizontal="center"/>
    </xf>
    <xf numFmtId="164" fontId="5" fillId="0" borderId="2" xfId="0" applyNumberFormat="1" applyFont="1" applyFill="1" applyBorder="1" applyAlignment="1" applyProtection="1"/>
    <xf numFmtId="164" fontId="5" fillId="0" borderId="8" xfId="0" applyNumberFormat="1" applyFont="1" applyFill="1" applyBorder="1" applyAlignment="1" applyProtection="1"/>
    <xf numFmtId="0" fontId="5" fillId="0" borderId="4" xfId="0" applyFont="1" applyFill="1" applyBorder="1" applyAlignment="1" applyProtection="1"/>
    <xf numFmtId="166" fontId="5" fillId="0" borderId="5" xfId="0" applyNumberFormat="1" applyFont="1" applyFill="1" applyBorder="1" applyAlignment="1" applyProtection="1"/>
    <xf numFmtId="9" fontId="5" fillId="0" borderId="8" xfId="0" applyNumberFormat="1" applyFont="1" applyFill="1" applyBorder="1" applyAlignment="1" applyProtection="1"/>
    <xf numFmtId="0" fontId="5" fillId="0" borderId="6" xfId="0" applyFont="1" applyFill="1" applyBorder="1" applyAlignment="1" applyProtection="1"/>
    <xf numFmtId="0" fontId="5" fillId="0" borderId="8" xfId="0" applyFont="1" applyFill="1" applyBorder="1" applyAlignment="1" applyProtection="1"/>
    <xf numFmtId="164" fontId="5" fillId="0" borderId="2" xfId="0" applyNumberFormat="1" applyFont="1" applyFill="1" applyBorder="1" applyAlignment="1" applyProtection="1">
      <alignment horizontal="right"/>
    </xf>
    <xf numFmtId="164" fontId="5" fillId="0" borderId="8" xfId="0" applyNumberFormat="1" applyFont="1" applyFill="1" applyBorder="1" applyAlignment="1" applyProtection="1">
      <alignment horizontal="right"/>
    </xf>
    <xf numFmtId="0" fontId="5" fillId="0" borderId="1" xfId="0" applyFont="1" applyFill="1" applyBorder="1" applyAlignment="1" applyProtection="1">
      <alignment vertical="top"/>
    </xf>
    <xf numFmtId="0" fontId="5" fillId="0" borderId="2" xfId="0" applyFont="1" applyFill="1" applyBorder="1" applyAlignment="1" applyProtection="1"/>
    <xf numFmtId="7" fontId="0" fillId="0" borderId="0" xfId="0" applyNumberFormat="1" applyFill="1" applyProtection="1">
      <alignment vertical="center"/>
    </xf>
    <xf numFmtId="165" fontId="5" fillId="0" borderId="2" xfId="0" applyNumberFormat="1" applyFont="1" applyFill="1" applyBorder="1" applyAlignment="1" applyProtection="1"/>
    <xf numFmtId="0" fontId="0" fillId="0" borderId="3" xfId="0" applyFill="1" applyBorder="1" applyAlignment="1" applyProtection="1">
      <alignment wrapText="1"/>
    </xf>
    <xf numFmtId="0" fontId="0" fillId="0" borderId="9" xfId="0" applyFill="1" applyBorder="1" applyAlignment="1" applyProtection="1">
      <alignment wrapText="1"/>
    </xf>
    <xf numFmtId="0" fontId="4" fillId="0" borderId="2" xfId="0" applyFont="1" applyFill="1" applyBorder="1" applyAlignment="1" applyProtection="1">
      <alignment horizontal="center"/>
    </xf>
    <xf numFmtId="164" fontId="5" fillId="0" borderId="0" xfId="0" applyNumberFormat="1" applyFont="1" applyFill="1" applyAlignment="1" applyProtection="1"/>
    <xf numFmtId="0" fontId="0" fillId="0" borderId="10" xfId="0" applyFill="1" applyBorder="1" applyProtection="1">
      <alignment vertical="center"/>
    </xf>
    <xf numFmtId="0" fontId="2" fillId="0" borderId="0" xfId="0" applyFont="1" applyFill="1" applyAlignment="1" applyProtection="1">
      <alignment wrapText="1"/>
    </xf>
    <xf numFmtId="0" fontId="6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0" fillId="0" borderId="7" xfId="0" applyFill="1" applyBorder="1" applyAlignment="1" applyProtection="1">
      <alignment wrapText="1"/>
    </xf>
    <xf numFmtId="0" fontId="5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horizontal="center"/>
    </xf>
    <xf numFmtId="0" fontId="9" fillId="0" borderId="0" xfId="0" applyFont="1" applyFill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0" fontId="7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top" wrapText="1"/>
    </xf>
    <xf numFmtId="0" fontId="6" fillId="0" borderId="11" xfId="0" applyFont="1" applyFill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center"/>
    </xf>
    <xf numFmtId="0" fontId="4" fillId="0" borderId="13" xfId="0" applyFont="1" applyFill="1" applyBorder="1" applyAlignment="1" applyProtection="1">
      <alignment horizontal="center"/>
    </xf>
    <xf numFmtId="0" fontId="4" fillId="0" borderId="14" xfId="0" applyFont="1" applyFill="1" applyBorder="1" applyAlignment="1" applyProtection="1">
      <alignment horizontal="center"/>
    </xf>
  </cellXfs>
  <cellStyles count="5">
    <cellStyle name="Comma" xfId="3" builtinId="3"/>
    <cellStyle name="Comma[0]" xfId="1" xr:uid="{00000000-0005-0000-0000-000000000000}"/>
    <cellStyle name="Currency" xfId="4" builtinId="4"/>
    <cellStyle name="Currency[0]" xfId="2" xr:uid="{00000000-0005-0000-0000-000001000000}"/>
    <cellStyle name="Normal" xfId="0" builtinId="0"/>
  </cellStyles>
  <dxfs count="0"/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1"/>
  <sheetViews>
    <sheetView tabSelected="1" workbookViewId="0">
      <selection activeCell="C16" sqref="C16"/>
    </sheetView>
  </sheetViews>
  <sheetFormatPr defaultColWidth="9.140625" defaultRowHeight="12.75" customHeight="1" x14ac:dyDescent="0.2"/>
  <cols>
    <col min="1" max="1" width="46" style="1" customWidth="1"/>
    <col min="2" max="2" width="16.85546875" style="1" customWidth="1"/>
    <col min="3" max="3" width="16.140625" style="1" bestFit="1" customWidth="1"/>
    <col min="4" max="4" width="9.28515625" style="1" hidden="1" customWidth="1"/>
    <col min="5" max="5" width="16.7109375" style="1" customWidth="1"/>
    <col min="6" max="6" width="10" style="1" hidden="1" customWidth="1"/>
    <col min="7" max="8" width="11.28515625" style="1" hidden="1" customWidth="1"/>
    <col min="9" max="9" width="8.140625" style="1" hidden="1" customWidth="1"/>
    <col min="10" max="10" width="11.5703125" style="1" hidden="1" customWidth="1"/>
    <col min="11" max="11" width="0" style="1" hidden="1" customWidth="1"/>
    <col min="12" max="16384" width="9.140625" style="1"/>
  </cols>
  <sheetData>
    <row r="1" spans="1:13" s="26" customFormat="1" ht="19.5" x14ac:dyDescent="0.3">
      <c r="A1" s="60" t="s">
        <v>23</v>
      </c>
      <c r="B1" s="60"/>
      <c r="C1" s="60"/>
      <c r="D1" s="60"/>
      <c r="E1" s="60"/>
      <c r="F1" s="60"/>
    </row>
    <row r="2" spans="1:13" s="26" customFormat="1" ht="15" x14ac:dyDescent="0.2">
      <c r="A2" s="61" t="s">
        <v>46</v>
      </c>
      <c r="B2" s="61"/>
      <c r="C2" s="61"/>
      <c r="D2" s="61"/>
      <c r="E2" s="61"/>
      <c r="F2" s="61"/>
    </row>
    <row r="3" spans="1:13" s="26" customFormat="1" ht="15" x14ac:dyDescent="0.2">
      <c r="A3" s="61" t="s">
        <v>33</v>
      </c>
      <c r="B3" s="61"/>
      <c r="C3" s="61"/>
      <c r="D3" s="61"/>
      <c r="E3" s="61"/>
      <c r="F3" s="61"/>
    </row>
    <row r="4" spans="1:13" s="26" customFormat="1" ht="7.5" customHeight="1" x14ac:dyDescent="0.2"/>
    <row r="5" spans="1:13" s="26" customFormat="1" ht="18" x14ac:dyDescent="0.25">
      <c r="A5" s="62" t="s">
        <v>29</v>
      </c>
      <c r="B5" s="62"/>
      <c r="C5" s="62"/>
      <c r="D5" s="62"/>
      <c r="E5" s="62"/>
      <c r="F5" s="62"/>
      <c r="G5" s="55"/>
      <c r="H5" s="55"/>
      <c r="I5" s="55"/>
      <c r="J5" s="55"/>
    </row>
    <row r="6" spans="1:13" s="26" customFormat="1" ht="12" customHeight="1" x14ac:dyDescent="0.25">
      <c r="A6" s="56"/>
      <c r="B6" s="57" t="s">
        <v>30</v>
      </c>
      <c r="C6" s="56"/>
      <c r="D6" s="56"/>
      <c r="E6" s="56"/>
      <c r="F6" s="56"/>
      <c r="G6" s="55"/>
      <c r="H6" s="55"/>
      <c r="I6" s="55"/>
      <c r="J6" s="55"/>
    </row>
    <row r="7" spans="1:13" s="26" customFormat="1" ht="12.75" customHeight="1" x14ac:dyDescent="0.25">
      <c r="A7" s="56"/>
      <c r="B7" s="57" t="s">
        <v>31</v>
      </c>
      <c r="C7" s="56"/>
      <c r="D7" s="56"/>
      <c r="E7" s="56"/>
      <c r="F7" s="56"/>
      <c r="G7" s="55"/>
      <c r="H7" s="55"/>
      <c r="I7" s="55"/>
      <c r="J7" s="55"/>
    </row>
    <row r="8" spans="1:13" s="3" customFormat="1" x14ac:dyDescent="0.2">
      <c r="A8" s="28" t="s">
        <v>14</v>
      </c>
      <c r="B8" s="34"/>
      <c r="C8" s="2">
        <v>175000</v>
      </c>
      <c r="D8" s="6">
        <v>1</v>
      </c>
    </row>
    <row r="9" spans="1:13" s="3" customFormat="1" ht="11.25" customHeight="1" x14ac:dyDescent="0.2">
      <c r="A9" s="26"/>
      <c r="B9" s="58"/>
      <c r="C9" s="7"/>
      <c r="F9" s="3" t="s">
        <v>35</v>
      </c>
    </row>
    <row r="10" spans="1:13" s="3" customFormat="1" ht="38.25" x14ac:dyDescent="0.2">
      <c r="A10" s="24" t="s">
        <v>0</v>
      </c>
      <c r="B10" s="25" t="s">
        <v>26</v>
      </c>
      <c r="C10" s="25" t="s">
        <v>27</v>
      </c>
      <c r="D10" s="26"/>
      <c r="E10" s="26"/>
      <c r="F10" s="3" t="s">
        <v>7</v>
      </c>
      <c r="J10" s="3" t="s">
        <v>40</v>
      </c>
    </row>
    <row r="11" spans="1:13" s="3" customFormat="1" x14ac:dyDescent="0.2">
      <c r="A11" s="27" t="s">
        <v>7</v>
      </c>
      <c r="B11" s="23">
        <v>811.18</v>
      </c>
      <c r="C11" s="23">
        <v>0</v>
      </c>
      <c r="D11" s="26"/>
      <c r="E11" s="28"/>
      <c r="F11" s="3" t="s">
        <v>36</v>
      </c>
      <c r="G11" s="8">
        <v>47.26</v>
      </c>
      <c r="H11" s="9">
        <v>49999.99</v>
      </c>
      <c r="J11" s="10">
        <f>B18</f>
        <v>105</v>
      </c>
    </row>
    <row r="12" spans="1:13" s="3" customFormat="1" x14ac:dyDescent="0.2">
      <c r="A12" s="27" t="s">
        <v>32</v>
      </c>
      <c r="B12" s="23">
        <v>1784.6</v>
      </c>
      <c r="C12" s="23">
        <f>B12-B11</f>
        <v>973.42</v>
      </c>
      <c r="D12" s="26"/>
      <c r="E12" s="28"/>
      <c r="F12" s="11" t="s">
        <v>37</v>
      </c>
      <c r="G12" s="8">
        <v>57.76</v>
      </c>
      <c r="H12" s="9">
        <v>99999.99</v>
      </c>
      <c r="J12" s="10">
        <f>B34</f>
        <v>1078.42</v>
      </c>
    </row>
    <row r="13" spans="1:13" s="3" customFormat="1" x14ac:dyDescent="0.2">
      <c r="A13" s="27" t="s">
        <v>5</v>
      </c>
      <c r="B13" s="23">
        <v>1387.14</v>
      </c>
      <c r="C13" s="23">
        <f>B13-B11</f>
        <v>575.96000000000015</v>
      </c>
      <c r="D13" s="26"/>
      <c r="E13" s="28"/>
      <c r="F13" s="11" t="s">
        <v>38</v>
      </c>
      <c r="G13" s="8">
        <v>76.66</v>
      </c>
      <c r="H13" s="9">
        <v>149999.99</v>
      </c>
      <c r="J13" s="10">
        <f>B50</f>
        <v>680.96</v>
      </c>
    </row>
    <row r="14" spans="1:13" s="3" customFormat="1" x14ac:dyDescent="0.2">
      <c r="A14" s="27" t="s">
        <v>9</v>
      </c>
      <c r="B14" s="23">
        <v>2182.08</v>
      </c>
      <c r="C14" s="23">
        <f>B14-B11</f>
        <v>1370.9</v>
      </c>
      <c r="D14" s="26"/>
      <c r="E14" s="28"/>
      <c r="F14" s="3" t="s">
        <v>39</v>
      </c>
      <c r="G14" s="8">
        <v>105</v>
      </c>
      <c r="H14" s="9" t="s">
        <v>39</v>
      </c>
      <c r="J14" s="10">
        <f>B66</f>
        <v>1475.9</v>
      </c>
      <c r="L14" s="12"/>
      <c r="M14" s="12"/>
    </row>
    <row r="15" spans="1:13" s="3" customFormat="1" x14ac:dyDescent="0.2">
      <c r="A15" s="27" t="s">
        <v>24</v>
      </c>
      <c r="B15" s="23">
        <v>2182.08</v>
      </c>
      <c r="C15" s="29">
        <f>B15-B11-B11</f>
        <v>559.72000000000014</v>
      </c>
      <c r="D15" s="26"/>
      <c r="E15" s="26"/>
      <c r="F15" s="5"/>
      <c r="J15" s="10">
        <f>B82</f>
        <v>769.72</v>
      </c>
    </row>
    <row r="16" spans="1:13" s="3" customFormat="1" x14ac:dyDescent="0.2">
      <c r="A16" s="28"/>
      <c r="B16" s="30"/>
      <c r="C16" s="26"/>
      <c r="D16" s="26"/>
      <c r="E16" s="26"/>
    </row>
    <row r="17" spans="1:8" s="3" customFormat="1" ht="25.5" x14ac:dyDescent="0.2">
      <c r="A17" s="31" t="s">
        <v>7</v>
      </c>
      <c r="B17" s="32" t="s">
        <v>20</v>
      </c>
      <c r="C17" s="32" t="s">
        <v>25</v>
      </c>
      <c r="D17" s="26"/>
      <c r="E17" s="26"/>
      <c r="F17" s="13" t="s">
        <v>45</v>
      </c>
      <c r="G17" s="14">
        <v>0.17</v>
      </c>
      <c r="H17" s="15">
        <f>ROUND(C8/12*$G$17,2)</f>
        <v>2479.17</v>
      </c>
    </row>
    <row r="18" spans="1:8" s="3" customFormat="1" x14ac:dyDescent="0.2">
      <c r="A18" s="27" t="s">
        <v>16</v>
      </c>
      <c r="B18" s="33">
        <f>IF(C8&gt;H13,G14,IF(C8&gt;H12,G13,IF(C8&gt;H11,G12,G11)))</f>
        <v>105</v>
      </c>
      <c r="C18" s="33">
        <f>B11-B18</f>
        <v>706.18</v>
      </c>
      <c r="D18" s="26"/>
      <c r="E18" s="26"/>
      <c r="F18" s="16"/>
    </row>
    <row r="19" spans="1:8" s="3" customFormat="1" ht="9" customHeight="1" x14ac:dyDescent="0.2">
      <c r="A19" s="34"/>
      <c r="B19" s="35"/>
      <c r="C19" s="35"/>
      <c r="D19" s="26"/>
      <c r="E19" s="26"/>
    </row>
    <row r="20" spans="1:8" s="3" customFormat="1" x14ac:dyDescent="0.2">
      <c r="A20" s="27" t="s">
        <v>6</v>
      </c>
      <c r="B20" s="29">
        <f>B18/2</f>
        <v>52.5</v>
      </c>
      <c r="C20" s="29">
        <f>B11/2-B20</f>
        <v>353.09</v>
      </c>
      <c r="D20" s="26"/>
      <c r="E20" s="26"/>
    </row>
    <row r="21" spans="1:8" s="3" customFormat="1" ht="9" customHeight="1" x14ac:dyDescent="0.2">
      <c r="A21" s="26"/>
      <c r="B21" s="30"/>
      <c r="C21" s="26"/>
      <c r="D21" s="26"/>
      <c r="E21" s="26"/>
    </row>
    <row r="22" spans="1:8" s="3" customFormat="1" x14ac:dyDescent="0.2">
      <c r="A22" s="31" t="s">
        <v>32</v>
      </c>
      <c r="B22" s="36"/>
      <c r="C22" s="26"/>
      <c r="D22" s="26"/>
      <c r="E22" s="26"/>
    </row>
    <row r="23" spans="1:8" s="3" customFormat="1" ht="13.15" hidden="1" customHeight="1" x14ac:dyDescent="0.2">
      <c r="A23" s="27" t="s">
        <v>3</v>
      </c>
      <c r="B23" s="37">
        <f>C8</f>
        <v>175000</v>
      </c>
      <c r="C23" s="38"/>
      <c r="D23" s="26"/>
      <c r="E23" s="26"/>
      <c r="G23" s="17">
        <f>811.19/2</f>
        <v>405.59500000000003</v>
      </c>
    </row>
    <row r="24" spans="1:8" s="3" customFormat="1" ht="13.15" hidden="1" customHeight="1" x14ac:dyDescent="0.2">
      <c r="A24" s="27" t="s">
        <v>34</v>
      </c>
      <c r="B24" s="39">
        <v>1725</v>
      </c>
      <c r="C24" s="38"/>
      <c r="D24" s="26"/>
      <c r="E24" s="26"/>
      <c r="G24" s="17">
        <f>1784.61/2</f>
        <v>892.30499999999995</v>
      </c>
    </row>
    <row r="25" spans="1:8" s="3" customFormat="1" ht="13.15" hidden="1" customHeight="1" x14ac:dyDescent="0.2">
      <c r="A25" s="27" t="s">
        <v>22</v>
      </c>
      <c r="B25" s="40">
        <f>ROUND(((C8/B24)/100),3)</f>
        <v>1.014</v>
      </c>
      <c r="C25" s="41"/>
      <c r="D25" s="26"/>
      <c r="E25" s="26"/>
      <c r="G25" s="17">
        <f>1387.14/2</f>
        <v>693.57</v>
      </c>
    </row>
    <row r="26" spans="1:8" s="3" customFormat="1" ht="13.15" hidden="1" customHeight="1" x14ac:dyDescent="0.2">
      <c r="A26" s="27" t="s">
        <v>42</v>
      </c>
      <c r="B26" s="40">
        <v>0.17499999999999999</v>
      </c>
      <c r="C26" s="38"/>
      <c r="D26" s="26"/>
      <c r="E26" s="26"/>
      <c r="G26" s="17">
        <f>2182.09/2</f>
        <v>1091.0450000000001</v>
      </c>
    </row>
    <row r="27" spans="1:8" s="3" customFormat="1" ht="13.15" hidden="1" customHeight="1" x14ac:dyDescent="0.2">
      <c r="A27" s="27" t="s">
        <v>15</v>
      </c>
      <c r="B27" s="40">
        <f>IF(((B25+B26)&gt;D8),1,(B25+B26))</f>
        <v>1</v>
      </c>
      <c r="C27" s="41"/>
      <c r="D27" s="26"/>
      <c r="E27" s="26"/>
    </row>
    <row r="28" spans="1:8" s="3" customFormat="1" ht="13.15" hidden="1" customHeight="1" x14ac:dyDescent="0.2">
      <c r="A28" s="27" t="s">
        <v>10</v>
      </c>
      <c r="B28" s="42"/>
      <c r="C28" s="43"/>
      <c r="D28" s="26"/>
      <c r="E28" s="26"/>
    </row>
    <row r="29" spans="1:8" s="3" customFormat="1" ht="13.15" hidden="1" customHeight="1" x14ac:dyDescent="0.2">
      <c r="A29" s="27" t="s">
        <v>8</v>
      </c>
      <c r="B29" s="44">
        <f>C12</f>
        <v>973.42</v>
      </c>
      <c r="C29" s="45"/>
      <c r="D29" s="26"/>
      <c r="E29" s="26"/>
    </row>
    <row r="30" spans="1:8" s="3" customFormat="1" ht="13.15" hidden="1" customHeight="1" x14ac:dyDescent="0.2">
      <c r="A30" s="46" t="s">
        <v>11</v>
      </c>
      <c r="B30" s="33">
        <f>ROUND(MIN(B29,(B29*B27)),2)</f>
        <v>973.42</v>
      </c>
      <c r="C30" s="38"/>
      <c r="D30" s="26"/>
      <c r="E30" s="26"/>
    </row>
    <row r="31" spans="1:8" s="3" customFormat="1" ht="13.15" hidden="1" customHeight="1" x14ac:dyDescent="0.2">
      <c r="A31" s="34"/>
      <c r="B31" s="42"/>
      <c r="C31" s="43"/>
      <c r="D31" s="26"/>
      <c r="E31" s="26"/>
    </row>
    <row r="32" spans="1:8" s="3" customFormat="1" ht="13.15" hidden="1" customHeight="1" x14ac:dyDescent="0.2">
      <c r="A32" s="27" t="s">
        <v>12</v>
      </c>
      <c r="B32" s="44">
        <f>B18</f>
        <v>105</v>
      </c>
      <c r="C32" s="45"/>
      <c r="D32" s="26"/>
      <c r="E32" s="26"/>
    </row>
    <row r="33" spans="1:11" s="3" customFormat="1" ht="13.15" hidden="1" customHeight="1" x14ac:dyDescent="0.2">
      <c r="A33" s="34"/>
      <c r="B33" s="47"/>
      <c r="C33" s="43"/>
      <c r="D33" s="26"/>
      <c r="E33" s="26"/>
    </row>
    <row r="34" spans="1:11" s="3" customFormat="1" x14ac:dyDescent="0.2">
      <c r="A34" s="27" t="s">
        <v>16</v>
      </c>
      <c r="B34" s="33">
        <f>IF((B30+B32)&gt;$H$17,$H$17,(B30+B32))</f>
        <v>1078.42</v>
      </c>
      <c r="C34" s="33">
        <f>SUM(B11+C12-B34)</f>
        <v>706.17999999999984</v>
      </c>
      <c r="D34" s="26"/>
      <c r="E34" s="26"/>
    </row>
    <row r="35" spans="1:11" s="3" customFormat="1" ht="9" customHeight="1" x14ac:dyDescent="0.2">
      <c r="A35" s="34"/>
      <c r="B35" s="35"/>
      <c r="C35" s="35"/>
      <c r="D35" s="26"/>
      <c r="E35" s="26"/>
    </row>
    <row r="36" spans="1:11" s="3" customFormat="1" x14ac:dyDescent="0.2">
      <c r="A36" s="27" t="s">
        <v>6</v>
      </c>
      <c r="B36" s="29">
        <f>B34/2</f>
        <v>539.21</v>
      </c>
      <c r="C36" s="29">
        <f>SUM(B11+C12)/2-B36</f>
        <v>353.08999999999992</v>
      </c>
      <c r="D36" s="26"/>
      <c r="E36" s="48"/>
      <c r="K36" s="16"/>
    </row>
    <row r="37" spans="1:11" s="3" customFormat="1" ht="9" customHeight="1" x14ac:dyDescent="0.2">
      <c r="A37" s="26"/>
      <c r="B37" s="30"/>
      <c r="C37" s="26"/>
      <c r="D37" s="26"/>
      <c r="E37" s="26"/>
    </row>
    <row r="38" spans="1:11" s="3" customFormat="1" x14ac:dyDescent="0.2">
      <c r="A38" s="31" t="s">
        <v>5</v>
      </c>
      <c r="B38" s="36"/>
      <c r="C38" s="26"/>
      <c r="D38" s="26"/>
      <c r="E38" s="26"/>
    </row>
    <row r="39" spans="1:11" s="3" customFormat="1" ht="13.15" hidden="1" customHeight="1" x14ac:dyDescent="0.2">
      <c r="A39" s="27" t="s">
        <v>3</v>
      </c>
      <c r="B39" s="49">
        <f>C8</f>
        <v>175000</v>
      </c>
      <c r="C39" s="38"/>
      <c r="D39" s="26"/>
      <c r="E39" s="26"/>
    </row>
    <row r="40" spans="1:11" s="3" customFormat="1" ht="13.15" hidden="1" customHeight="1" x14ac:dyDescent="0.2">
      <c r="A40" s="27" t="s">
        <v>34</v>
      </c>
      <c r="B40" s="39">
        <v>1725</v>
      </c>
      <c r="C40" s="38"/>
      <c r="D40" s="26"/>
      <c r="E40" s="26"/>
    </row>
    <row r="41" spans="1:11" s="3" customFormat="1" ht="13.15" hidden="1" customHeight="1" x14ac:dyDescent="0.2">
      <c r="A41" s="27" t="s">
        <v>22</v>
      </c>
      <c r="B41" s="40">
        <f>ROUND(((C8/B40)/100),3)</f>
        <v>1.014</v>
      </c>
      <c r="C41" s="41"/>
      <c r="D41" s="26"/>
      <c r="E41" s="26"/>
    </row>
    <row r="42" spans="1:11" s="3" customFormat="1" ht="13.15" hidden="1" customHeight="1" x14ac:dyDescent="0.2">
      <c r="A42" s="27" t="s">
        <v>42</v>
      </c>
      <c r="B42" s="40">
        <f>$B$26</f>
        <v>0.17499999999999999</v>
      </c>
      <c r="C42" s="38"/>
      <c r="D42" s="26"/>
      <c r="E42" s="26"/>
    </row>
    <row r="43" spans="1:11" s="3" customFormat="1" ht="13.15" hidden="1" customHeight="1" x14ac:dyDescent="0.2">
      <c r="A43" s="27" t="s">
        <v>15</v>
      </c>
      <c r="B43" s="40">
        <f>IF(((B41+B42)&gt;D8),1,(B41+B42))</f>
        <v>1</v>
      </c>
      <c r="C43" s="41"/>
      <c r="D43" s="26"/>
      <c r="E43" s="26"/>
    </row>
    <row r="44" spans="1:11" s="3" customFormat="1" ht="13.15" hidden="1" customHeight="1" x14ac:dyDescent="0.2">
      <c r="A44" s="27" t="s">
        <v>10</v>
      </c>
      <c r="B44" s="42"/>
      <c r="C44" s="43"/>
      <c r="D44" s="26"/>
      <c r="E44" s="26"/>
    </row>
    <row r="45" spans="1:11" s="3" customFormat="1" ht="13.15" hidden="1" customHeight="1" x14ac:dyDescent="0.2">
      <c r="A45" s="27" t="s">
        <v>8</v>
      </c>
      <c r="B45" s="44">
        <f>C13</f>
        <v>575.96000000000015</v>
      </c>
      <c r="C45" s="45"/>
      <c r="D45" s="26"/>
      <c r="E45" s="26"/>
    </row>
    <row r="46" spans="1:11" s="3" customFormat="1" ht="13.15" hidden="1" customHeight="1" x14ac:dyDescent="0.2">
      <c r="A46" s="46" t="s">
        <v>11</v>
      </c>
      <c r="B46" s="33">
        <f>ROUND(MIN(B45,(B45*B43)),2)</f>
        <v>575.96</v>
      </c>
      <c r="C46" s="38"/>
      <c r="D46" s="26"/>
      <c r="E46" s="26"/>
    </row>
    <row r="47" spans="1:11" s="3" customFormat="1" ht="13.15" hidden="1" customHeight="1" x14ac:dyDescent="0.2">
      <c r="A47" s="34"/>
      <c r="B47" s="42"/>
      <c r="C47" s="43"/>
      <c r="D47" s="26"/>
      <c r="E47" s="26"/>
    </row>
    <row r="48" spans="1:11" s="3" customFormat="1" ht="13.15" hidden="1" customHeight="1" x14ac:dyDescent="0.2">
      <c r="A48" s="27" t="s">
        <v>12</v>
      </c>
      <c r="B48" s="44">
        <f>B18</f>
        <v>105</v>
      </c>
      <c r="C48" s="45"/>
      <c r="D48" s="26"/>
      <c r="E48" s="26"/>
    </row>
    <row r="49" spans="1:12" s="3" customFormat="1" ht="13.15" hidden="1" customHeight="1" x14ac:dyDescent="0.2">
      <c r="A49" s="34"/>
      <c r="B49" s="47"/>
      <c r="C49" s="43"/>
      <c r="D49" s="26"/>
      <c r="E49" s="26"/>
    </row>
    <row r="50" spans="1:12" s="3" customFormat="1" x14ac:dyDescent="0.2">
      <c r="A50" s="27" t="s">
        <v>16</v>
      </c>
      <c r="B50" s="33">
        <f>IF((B46+B48)&gt;$H$17,$H$17,(B46+B48))</f>
        <v>680.96</v>
      </c>
      <c r="C50" s="33">
        <f>B11+C13-B50</f>
        <v>706.18000000000006</v>
      </c>
      <c r="D50" s="26"/>
      <c r="E50" s="26"/>
      <c r="G50" s="16"/>
      <c r="L50" s="16"/>
    </row>
    <row r="51" spans="1:12" s="3" customFormat="1" ht="9" customHeight="1" x14ac:dyDescent="0.2">
      <c r="A51" s="34"/>
      <c r="B51" s="35"/>
      <c r="C51" s="35"/>
      <c r="D51" s="26"/>
      <c r="E51" s="26"/>
    </row>
    <row r="52" spans="1:12" s="3" customFormat="1" x14ac:dyDescent="0.2">
      <c r="A52" s="27" t="s">
        <v>6</v>
      </c>
      <c r="B52" s="29">
        <f>B50/2</f>
        <v>340.48</v>
      </c>
      <c r="C52" s="29">
        <f>(B11+C13)/2-B52</f>
        <v>353.09000000000003</v>
      </c>
      <c r="D52" s="26"/>
      <c r="E52" s="26"/>
    </row>
    <row r="53" spans="1:12" s="3" customFormat="1" ht="9" customHeight="1" x14ac:dyDescent="0.2">
      <c r="A53" s="26"/>
      <c r="B53" s="30"/>
      <c r="C53" s="26"/>
      <c r="D53" s="26"/>
      <c r="E53" s="26"/>
    </row>
    <row r="54" spans="1:12" s="3" customFormat="1" x14ac:dyDescent="0.2">
      <c r="A54" s="31" t="s">
        <v>9</v>
      </c>
      <c r="B54" s="36"/>
      <c r="C54" s="26"/>
      <c r="D54" s="26"/>
      <c r="E54" s="26"/>
    </row>
    <row r="55" spans="1:12" s="3" customFormat="1" ht="13.15" hidden="1" customHeight="1" x14ac:dyDescent="0.2">
      <c r="A55" s="27" t="s">
        <v>3</v>
      </c>
      <c r="B55" s="49">
        <f>C8</f>
        <v>175000</v>
      </c>
      <c r="C55" s="38"/>
      <c r="D55" s="26"/>
      <c r="E55" s="26"/>
    </row>
    <row r="56" spans="1:12" s="3" customFormat="1" ht="13.15" hidden="1" customHeight="1" x14ac:dyDescent="0.2">
      <c r="A56" s="27" t="s">
        <v>34</v>
      </c>
      <c r="B56" s="39">
        <v>1725</v>
      </c>
      <c r="C56" s="38"/>
      <c r="D56" s="26"/>
      <c r="E56" s="26"/>
    </row>
    <row r="57" spans="1:12" s="3" customFormat="1" ht="13.15" hidden="1" customHeight="1" x14ac:dyDescent="0.2">
      <c r="A57" s="27" t="s">
        <v>22</v>
      </c>
      <c r="B57" s="40">
        <f>ROUND(((C8/B56)/100),3)</f>
        <v>1.014</v>
      </c>
      <c r="C57" s="41"/>
      <c r="D57" s="26"/>
      <c r="E57" s="26"/>
    </row>
    <row r="58" spans="1:12" s="3" customFormat="1" ht="13.15" hidden="1" customHeight="1" x14ac:dyDescent="0.2">
      <c r="A58" s="27" t="s">
        <v>42</v>
      </c>
      <c r="B58" s="40">
        <f>$B$26</f>
        <v>0.17499999999999999</v>
      </c>
      <c r="C58" s="38"/>
      <c r="D58" s="26"/>
      <c r="E58" s="26"/>
    </row>
    <row r="59" spans="1:12" s="3" customFormat="1" ht="13.15" hidden="1" customHeight="1" x14ac:dyDescent="0.2">
      <c r="A59" s="27" t="s">
        <v>15</v>
      </c>
      <c r="B59" s="40">
        <f>IF(((B57+B58)&gt;D8),1,(B57+B58))</f>
        <v>1</v>
      </c>
      <c r="C59" s="41"/>
      <c r="D59" s="26"/>
      <c r="E59" s="26"/>
    </row>
    <row r="60" spans="1:12" s="3" customFormat="1" ht="13.15" hidden="1" customHeight="1" x14ac:dyDescent="0.2">
      <c r="A60" s="27" t="s">
        <v>10</v>
      </c>
      <c r="B60" s="42"/>
      <c r="C60" s="43"/>
      <c r="D60" s="26"/>
      <c r="E60" s="26"/>
    </row>
    <row r="61" spans="1:12" s="3" customFormat="1" ht="13.15" hidden="1" customHeight="1" x14ac:dyDescent="0.2">
      <c r="A61" s="27" t="s">
        <v>8</v>
      </c>
      <c r="B61" s="44">
        <f>C14</f>
        <v>1370.9</v>
      </c>
      <c r="C61" s="45"/>
      <c r="D61" s="26"/>
      <c r="E61" s="26"/>
    </row>
    <row r="62" spans="1:12" s="3" customFormat="1" ht="13.15" hidden="1" customHeight="1" x14ac:dyDescent="0.2">
      <c r="A62" s="46" t="s">
        <v>11</v>
      </c>
      <c r="B62" s="33">
        <f>ROUND(MIN(B61,(B61*B59)),2)</f>
        <v>1370.9</v>
      </c>
      <c r="C62" s="38"/>
      <c r="D62" s="26"/>
      <c r="E62" s="26"/>
    </row>
    <row r="63" spans="1:12" s="3" customFormat="1" ht="13.15" hidden="1" customHeight="1" x14ac:dyDescent="0.2">
      <c r="A63" s="34"/>
      <c r="B63" s="42"/>
      <c r="C63" s="43"/>
      <c r="D63" s="26"/>
      <c r="E63" s="26"/>
    </row>
    <row r="64" spans="1:12" s="3" customFormat="1" ht="13.15" hidden="1" customHeight="1" x14ac:dyDescent="0.2">
      <c r="A64" s="27" t="s">
        <v>12</v>
      </c>
      <c r="B64" s="44">
        <f>B18</f>
        <v>105</v>
      </c>
      <c r="C64" s="45"/>
      <c r="D64" s="26"/>
      <c r="E64" s="26"/>
    </row>
    <row r="65" spans="1:7" s="3" customFormat="1" ht="13.15" hidden="1" customHeight="1" x14ac:dyDescent="0.2">
      <c r="A65" s="34"/>
      <c r="B65" s="47"/>
      <c r="C65" s="43"/>
      <c r="D65" s="26"/>
      <c r="E65" s="26"/>
    </row>
    <row r="66" spans="1:7" s="3" customFormat="1" x14ac:dyDescent="0.2">
      <c r="A66" s="27" t="s">
        <v>16</v>
      </c>
      <c r="B66" s="33">
        <f>IF((B62+B64)&gt;$H$17,$H$17,(B62+B64))</f>
        <v>1475.9</v>
      </c>
      <c r="C66" s="33">
        <f>B11+C14-B66</f>
        <v>706.17999999999984</v>
      </c>
      <c r="D66" s="26"/>
      <c r="E66" s="26"/>
      <c r="G66" s="16"/>
    </row>
    <row r="67" spans="1:7" s="3" customFormat="1" ht="9" customHeight="1" x14ac:dyDescent="0.2">
      <c r="A67" s="34"/>
      <c r="B67" s="35"/>
      <c r="C67" s="35"/>
      <c r="D67" s="26"/>
      <c r="E67" s="26"/>
    </row>
    <row r="68" spans="1:7" s="3" customFormat="1" x14ac:dyDescent="0.2">
      <c r="A68" s="27" t="s">
        <v>6</v>
      </c>
      <c r="B68" s="29">
        <f>B66/2</f>
        <v>737.95</v>
      </c>
      <c r="C68" s="29">
        <f>(B11+C14)/2-B68</f>
        <v>353.08999999999992</v>
      </c>
      <c r="D68" s="26"/>
      <c r="E68" s="26"/>
    </row>
    <row r="69" spans="1:7" s="3" customFormat="1" ht="8.25" customHeight="1" x14ac:dyDescent="0.2">
      <c r="A69" s="26"/>
      <c r="B69" s="30"/>
      <c r="C69" s="26"/>
      <c r="D69" s="26"/>
      <c r="E69" s="26"/>
    </row>
    <row r="70" spans="1:7" s="3" customFormat="1" x14ac:dyDescent="0.2">
      <c r="A70" s="31" t="s">
        <v>24</v>
      </c>
      <c r="B70" s="36"/>
      <c r="C70" s="26"/>
      <c r="D70" s="26"/>
      <c r="E70" s="26"/>
    </row>
    <row r="71" spans="1:7" s="3" customFormat="1" ht="13.15" hidden="1" customHeight="1" x14ac:dyDescent="0.2">
      <c r="A71" s="27" t="s">
        <v>3</v>
      </c>
      <c r="B71" s="49">
        <f>C8</f>
        <v>175000</v>
      </c>
      <c r="C71" s="38"/>
      <c r="D71" s="26"/>
      <c r="E71" s="26"/>
    </row>
    <row r="72" spans="1:7" s="3" customFormat="1" ht="13.15" hidden="1" customHeight="1" x14ac:dyDescent="0.2">
      <c r="A72" s="27" t="s">
        <v>34</v>
      </c>
      <c r="B72" s="39">
        <v>1725</v>
      </c>
      <c r="C72" s="38"/>
      <c r="D72" s="26"/>
      <c r="E72" s="26"/>
    </row>
    <row r="73" spans="1:7" s="3" customFormat="1" ht="13.15" hidden="1" customHeight="1" x14ac:dyDescent="0.2">
      <c r="A73" s="27" t="s">
        <v>22</v>
      </c>
      <c r="B73" s="40">
        <f>ROUND(((C8/B72)/100),3)</f>
        <v>1.014</v>
      </c>
      <c r="C73" s="41"/>
      <c r="D73" s="26"/>
      <c r="E73" s="26"/>
    </row>
    <row r="74" spans="1:7" s="3" customFormat="1" ht="13.15" hidden="1" customHeight="1" x14ac:dyDescent="0.2">
      <c r="A74" s="27" t="s">
        <v>42</v>
      </c>
      <c r="B74" s="40">
        <f>$B$26</f>
        <v>0.17499999999999999</v>
      </c>
      <c r="C74" s="38"/>
      <c r="D74" s="26"/>
      <c r="E74" s="26"/>
    </row>
    <row r="75" spans="1:7" s="3" customFormat="1" ht="13.15" hidden="1" customHeight="1" x14ac:dyDescent="0.2">
      <c r="A75" s="27" t="s">
        <v>15</v>
      </c>
      <c r="B75" s="40">
        <f>IF(((B73+B74)&gt;D8),1,(B73+B74))</f>
        <v>1</v>
      </c>
      <c r="C75" s="41"/>
      <c r="D75" s="26"/>
      <c r="E75" s="26"/>
    </row>
    <row r="76" spans="1:7" s="3" customFormat="1" ht="13.15" hidden="1" customHeight="1" x14ac:dyDescent="0.2">
      <c r="A76" s="27" t="s">
        <v>10</v>
      </c>
      <c r="B76" s="42"/>
      <c r="C76" s="43"/>
      <c r="D76" s="26"/>
      <c r="E76" s="26"/>
    </row>
    <row r="77" spans="1:7" s="3" customFormat="1" ht="13.15" hidden="1" customHeight="1" x14ac:dyDescent="0.2">
      <c r="A77" s="27" t="s">
        <v>8</v>
      </c>
      <c r="B77" s="44">
        <f>C15</f>
        <v>559.72000000000014</v>
      </c>
      <c r="C77" s="45"/>
      <c r="D77" s="26"/>
      <c r="E77" s="26"/>
    </row>
    <row r="78" spans="1:7" s="3" customFormat="1" ht="13.15" hidden="1" customHeight="1" x14ac:dyDescent="0.2">
      <c r="A78" s="27" t="s">
        <v>18</v>
      </c>
      <c r="B78" s="33">
        <f>ROUND(MIN(B77,(B77*B75)),2)</f>
        <v>559.72</v>
      </c>
      <c r="C78" s="38"/>
      <c r="D78" s="26"/>
      <c r="E78" s="26"/>
    </row>
    <row r="79" spans="1:7" s="3" customFormat="1" ht="13.15" hidden="1" customHeight="1" x14ac:dyDescent="0.2">
      <c r="A79" s="27" t="s">
        <v>13</v>
      </c>
      <c r="B79" s="42"/>
      <c r="C79" s="43"/>
      <c r="D79" s="26"/>
      <c r="E79" s="26"/>
    </row>
    <row r="80" spans="1:7" s="3" customFormat="1" ht="13.15" hidden="1" customHeight="1" x14ac:dyDescent="0.2">
      <c r="A80" s="27" t="s">
        <v>12</v>
      </c>
      <c r="B80" s="44">
        <f>B18*2</f>
        <v>210</v>
      </c>
      <c r="C80" s="45"/>
      <c r="D80" s="26"/>
      <c r="E80" s="26"/>
    </row>
    <row r="81" spans="1:10" s="3" customFormat="1" ht="13.15" hidden="1" customHeight="1" x14ac:dyDescent="0.2">
      <c r="A81" s="34"/>
      <c r="B81" s="47"/>
      <c r="C81" s="43"/>
      <c r="D81" s="26"/>
      <c r="E81" s="26"/>
    </row>
    <row r="82" spans="1:10" s="3" customFormat="1" x14ac:dyDescent="0.2">
      <c r="A82" s="27" t="s">
        <v>16</v>
      </c>
      <c r="B82" s="33">
        <f>IF((B78+B80)&gt;$H$17,$H$17,(B78+B80))</f>
        <v>769.72</v>
      </c>
      <c r="C82" s="33">
        <f>C15+B11+B11-B82</f>
        <v>1412.36</v>
      </c>
      <c r="D82" s="26"/>
      <c r="E82" s="26"/>
      <c r="G82" s="16"/>
    </row>
    <row r="83" spans="1:10" s="3" customFormat="1" ht="9" customHeight="1" x14ac:dyDescent="0.2">
      <c r="A83" s="34"/>
      <c r="B83" s="35"/>
      <c r="C83" s="35"/>
      <c r="D83" s="26"/>
      <c r="E83" s="26"/>
    </row>
    <row r="84" spans="1:10" s="3" customFormat="1" x14ac:dyDescent="0.2">
      <c r="A84" s="27" t="s">
        <v>6</v>
      </c>
      <c r="B84" s="29">
        <f>B82/2</f>
        <v>384.86</v>
      </c>
      <c r="C84" s="29">
        <f>C82/2</f>
        <v>706.18</v>
      </c>
      <c r="D84" s="26"/>
      <c r="E84" s="26"/>
    </row>
    <row r="85" spans="1:10" s="3" customFormat="1" x14ac:dyDescent="0.2">
      <c r="A85" s="26"/>
      <c r="B85" s="50"/>
      <c r="C85" s="26"/>
      <c r="D85" s="26"/>
      <c r="E85" s="26"/>
    </row>
    <row r="86" spans="1:10" s="3" customFormat="1" ht="31.5" customHeight="1" x14ac:dyDescent="0.2">
      <c r="A86" s="63" t="s">
        <v>41</v>
      </c>
      <c r="B86" s="63"/>
      <c r="C86" s="63"/>
      <c r="D86" s="63"/>
      <c r="E86" s="63"/>
      <c r="F86" s="18"/>
    </row>
    <row r="87" spans="1:10" s="3" customFormat="1" ht="52.5" customHeight="1" x14ac:dyDescent="0.2">
      <c r="A87" s="64" t="s">
        <v>43</v>
      </c>
      <c r="B87" s="64"/>
      <c r="C87" s="64"/>
      <c r="D87" s="64"/>
      <c r="E87" s="64"/>
      <c r="F87" s="19"/>
    </row>
    <row r="88" spans="1:10" s="3" customFormat="1" ht="31.5" customHeight="1" x14ac:dyDescent="0.2">
      <c r="A88" s="63" t="s">
        <v>19</v>
      </c>
      <c r="B88" s="63"/>
      <c r="C88" s="63"/>
      <c r="D88" s="63"/>
      <c r="E88" s="63"/>
      <c r="F88" s="18"/>
    </row>
    <row r="89" spans="1:10" s="3" customFormat="1" x14ac:dyDescent="0.2">
      <c r="A89" s="63" t="s">
        <v>44</v>
      </c>
      <c r="B89" s="63"/>
      <c r="C89" s="63"/>
      <c r="D89" s="63"/>
      <c r="E89" s="63"/>
      <c r="F89" s="18"/>
    </row>
    <row r="90" spans="1:10" s="3" customFormat="1" ht="5.25" customHeight="1" thickBot="1" x14ac:dyDescent="0.25">
      <c r="A90" s="26"/>
      <c r="B90" s="26"/>
      <c r="C90" s="26"/>
      <c r="D90" s="26"/>
      <c r="E90" s="26"/>
    </row>
    <row r="91" spans="1:10" s="3" customFormat="1" ht="18.75" thickTop="1" x14ac:dyDescent="0.25">
      <c r="A91" s="65" t="s">
        <v>17</v>
      </c>
      <c r="B91" s="65"/>
      <c r="C91" s="65"/>
      <c r="D91" s="65"/>
      <c r="E91" s="65"/>
      <c r="F91" s="20"/>
      <c r="G91" s="4"/>
      <c r="H91" s="4"/>
      <c r="I91" s="4"/>
      <c r="J91" s="4"/>
    </row>
    <row r="92" spans="1:10" s="3" customFormat="1" x14ac:dyDescent="0.2">
      <c r="A92" s="26"/>
      <c r="B92" s="51"/>
      <c r="C92" s="66" t="s">
        <v>20</v>
      </c>
      <c r="D92" s="67"/>
      <c r="E92" s="68"/>
      <c r="F92" s="21"/>
      <c r="G92" s="21"/>
      <c r="H92" s="21"/>
      <c r="I92" s="21"/>
      <c r="J92" s="21"/>
    </row>
    <row r="93" spans="1:10" s="3" customFormat="1" ht="25.5" x14ac:dyDescent="0.2">
      <c r="A93" s="24" t="s">
        <v>0</v>
      </c>
      <c r="B93" s="25" t="s">
        <v>26</v>
      </c>
      <c r="C93" s="52" t="s">
        <v>21</v>
      </c>
      <c r="D93" s="52" t="s">
        <v>4</v>
      </c>
      <c r="E93" s="52" t="s">
        <v>4</v>
      </c>
    </row>
    <row r="94" spans="1:10" s="3" customFormat="1" x14ac:dyDescent="0.2">
      <c r="A94" s="27" t="s">
        <v>7</v>
      </c>
      <c r="B94" s="23">
        <v>40.08</v>
      </c>
      <c r="C94" s="23">
        <v>0</v>
      </c>
      <c r="D94" s="23">
        <v>1E-3</v>
      </c>
      <c r="E94" s="23">
        <v>0</v>
      </c>
    </row>
    <row r="95" spans="1:10" s="3" customFormat="1" x14ac:dyDescent="0.2">
      <c r="A95" s="27" t="s">
        <v>1</v>
      </c>
      <c r="B95" s="23">
        <v>84.14</v>
      </c>
      <c r="C95" s="23">
        <f>B95-B94</f>
        <v>44.06</v>
      </c>
      <c r="D95" s="23">
        <v>20.02</v>
      </c>
      <c r="E95" s="23">
        <f>C95/2</f>
        <v>22.03</v>
      </c>
    </row>
    <row r="96" spans="1:10" s="3" customFormat="1" x14ac:dyDescent="0.2">
      <c r="A96" s="27" t="s">
        <v>2</v>
      </c>
      <c r="B96" s="23">
        <v>80.2</v>
      </c>
      <c r="C96" s="23">
        <f>B96-B94</f>
        <v>40.120000000000005</v>
      </c>
      <c r="D96" s="23">
        <v>18.21</v>
      </c>
      <c r="E96" s="23">
        <f>C96/2</f>
        <v>20.060000000000002</v>
      </c>
      <c r="I96" s="16"/>
      <c r="J96" s="16"/>
    </row>
    <row r="97" spans="1:10" s="3" customFormat="1" x14ac:dyDescent="0.2">
      <c r="A97" s="27" t="s">
        <v>9</v>
      </c>
      <c r="B97" s="23">
        <v>103.66</v>
      </c>
      <c r="C97" s="23">
        <f>B97-B94</f>
        <v>63.58</v>
      </c>
      <c r="D97" s="23">
        <v>28.88</v>
      </c>
      <c r="E97" s="23">
        <f>C97/2</f>
        <v>31.79</v>
      </c>
      <c r="I97" s="16"/>
      <c r="J97" s="16"/>
    </row>
    <row r="98" spans="1:10" s="3" customFormat="1" x14ac:dyDescent="0.2">
      <c r="A98" s="27" t="s">
        <v>24</v>
      </c>
      <c r="B98" s="29">
        <v>103.66</v>
      </c>
      <c r="C98" s="29">
        <f>B98-B94-B94</f>
        <v>23.5</v>
      </c>
      <c r="D98" s="29">
        <v>10.66</v>
      </c>
      <c r="E98" s="29">
        <f>C98/2</f>
        <v>11.75</v>
      </c>
    </row>
    <row r="99" spans="1:10" s="3" customFormat="1" x14ac:dyDescent="0.2">
      <c r="A99" s="28"/>
      <c r="B99" s="53"/>
      <c r="C99" s="53"/>
      <c r="D99" s="53"/>
      <c r="E99" s="53"/>
    </row>
    <row r="100" spans="1:10" s="3" customFormat="1" ht="5.25" customHeight="1" thickBot="1" x14ac:dyDescent="0.25">
      <c r="A100" s="54"/>
      <c r="B100" s="54"/>
      <c r="C100" s="54"/>
      <c r="D100" s="54"/>
      <c r="E100" s="54"/>
    </row>
    <row r="101" spans="1:10" s="3" customFormat="1" ht="54" customHeight="1" thickTop="1" x14ac:dyDescent="0.2">
      <c r="A101" s="59" t="s">
        <v>28</v>
      </c>
      <c r="B101" s="59"/>
      <c r="C101" s="59"/>
      <c r="D101" s="59"/>
      <c r="E101" s="59"/>
      <c r="F101" s="22"/>
      <c r="G101" s="22"/>
      <c r="H101" s="22"/>
      <c r="I101" s="22"/>
      <c r="J101" s="22"/>
    </row>
  </sheetData>
  <sheetProtection algorithmName="SHA-512" hashValue="TkknJ1Akw/v2BLc9z71YDCgt+DfmnpUqxfmrzoYJUbE4kZ4jlY9SZGMvoieLg6egs5+VMeAaIS/zMY9qOGFDkg==" saltValue="hLKdo2ftkRdY/Xb+UdxMQA==" spinCount="100000" sheet="1"/>
  <protectedRanges>
    <protectedRange sqref="C8" name="Range1"/>
  </protectedRanges>
  <mergeCells count="11">
    <mergeCell ref="A101:E101"/>
    <mergeCell ref="A1:F1"/>
    <mergeCell ref="A2:F2"/>
    <mergeCell ref="A3:F3"/>
    <mergeCell ref="A5:F5"/>
    <mergeCell ref="A88:E88"/>
    <mergeCell ref="A86:E86"/>
    <mergeCell ref="A87:E87"/>
    <mergeCell ref="A91:E91"/>
    <mergeCell ref="C92:E92"/>
    <mergeCell ref="A89:E89"/>
  </mergeCells>
  <pageMargins left="0.25" right="0.25" top="0.25" bottom="0" header="0.5" footer="0.5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(HR) Ryan</dc:creator>
  <cp:lastModifiedBy>Rachael Enders</cp:lastModifiedBy>
  <cp:lastPrinted>2018-09-26T15:56:28Z</cp:lastPrinted>
  <dcterms:created xsi:type="dcterms:W3CDTF">2012-09-27T15:04:48Z</dcterms:created>
  <dcterms:modified xsi:type="dcterms:W3CDTF">2024-10-29T13:53:58Z</dcterms:modified>
</cp:coreProperties>
</file>